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1640"/>
  </bookViews>
  <sheets>
    <sheet name="standard summary" sheetId="1" r:id="rId1"/>
  </sheets>
  <definedNames>
    <definedName name="_xlnm.Print_Area" localSheetId="0">'standard summary'!$A$1:$U$38</definedName>
    <definedName name="_xlnm.Print_Titles" localSheetId="0">'standard summary'!$A:$D</definedName>
  </definedNames>
  <calcPr calcId="125725"/>
</workbook>
</file>

<file path=xl/calcChain.xml><?xml version="1.0" encoding="utf-8"?>
<calcChain xmlns="http://schemas.openxmlformats.org/spreadsheetml/2006/main">
  <c r="R36" i="1"/>
  <c r="R33"/>
  <c r="R32"/>
  <c r="R30"/>
  <c r="P37"/>
  <c r="P33"/>
  <c r="P31"/>
  <c r="P30"/>
  <c r="P29"/>
  <c r="D37"/>
  <c r="U22"/>
  <c r="U21"/>
  <c r="U20"/>
  <c r="U19"/>
  <c r="U18"/>
  <c r="U17"/>
  <c r="U16"/>
  <c r="U10"/>
  <c r="U8"/>
  <c r="U7"/>
  <c r="T22"/>
  <c r="T21"/>
  <c r="T20"/>
  <c r="T19"/>
  <c r="T18"/>
  <c r="T17"/>
  <c r="T16"/>
  <c r="T10"/>
  <c r="T8"/>
  <c r="T7"/>
  <c r="S22"/>
  <c r="S21"/>
  <c r="S20"/>
  <c r="S19"/>
  <c r="S18"/>
  <c r="S17"/>
  <c r="S16"/>
  <c r="S10"/>
  <c r="S8"/>
  <c r="S7"/>
  <c r="R24"/>
  <c r="R23"/>
  <c r="R22"/>
  <c r="Q19"/>
  <c r="R16"/>
  <c r="R13"/>
  <c r="R10"/>
  <c r="R8"/>
  <c r="Q22"/>
  <c r="Q21"/>
  <c r="Q20"/>
  <c r="Q18"/>
  <c r="Q17"/>
  <c r="Q16"/>
  <c r="Q8"/>
  <c r="Q7"/>
  <c r="P13"/>
  <c r="P12"/>
  <c r="P11"/>
  <c r="P10"/>
  <c r="P9"/>
  <c r="P8"/>
  <c r="P7"/>
  <c r="O22"/>
  <c r="O21"/>
  <c r="O20"/>
  <c r="O19"/>
  <c r="O18"/>
  <c r="O17"/>
  <c r="O16"/>
  <c r="O10"/>
  <c r="O8"/>
  <c r="O7"/>
  <c r="G22"/>
  <c r="E22"/>
  <c r="F22"/>
  <c r="E21"/>
  <c r="E20"/>
  <c r="G19"/>
  <c r="E19"/>
  <c r="G18"/>
  <c r="E18"/>
  <c r="G10"/>
  <c r="E10"/>
  <c r="E7"/>
  <c r="E8"/>
  <c r="D25"/>
  <c r="D24"/>
  <c r="D23"/>
  <c r="D22"/>
  <c r="D21"/>
  <c r="D20"/>
  <c r="D19"/>
  <c r="D18"/>
  <c r="D17"/>
  <c r="D16"/>
  <c r="D15"/>
  <c r="D14"/>
  <c r="D12"/>
  <c r="D11"/>
  <c r="D10"/>
  <c r="D9"/>
  <c r="D8"/>
  <c r="D7"/>
  <c r="D13"/>
  <c r="D36"/>
  <c r="D35"/>
  <c r="D34"/>
  <c r="D33"/>
  <c r="D32"/>
  <c r="D31"/>
  <c r="D30"/>
  <c r="D29"/>
  <c r="D28"/>
</calcChain>
</file>

<file path=xl/sharedStrings.xml><?xml version="1.0" encoding="utf-8"?>
<sst xmlns="http://schemas.openxmlformats.org/spreadsheetml/2006/main" count="335" uniqueCount="70">
  <si>
    <t>Contract Type Analysis</t>
  </si>
  <si>
    <t>Competition Analysis</t>
  </si>
  <si>
    <t>Obligations</t>
  </si>
  <si>
    <t>Fixed Price</t>
  </si>
  <si>
    <t xml:space="preserve">Cost </t>
  </si>
  <si>
    <t>T&amp;M/LH</t>
  </si>
  <si>
    <t>Other</t>
  </si>
  <si>
    <t>Competed</t>
  </si>
  <si>
    <t>Not Competed</t>
  </si>
  <si>
    <t>Q1</t>
  </si>
  <si>
    <t>Q2</t>
  </si>
  <si>
    <t>Q3</t>
  </si>
  <si>
    <t>Q4</t>
  </si>
  <si>
    <t>D310</t>
  </si>
  <si>
    <t>% Total Obligations</t>
  </si>
  <si>
    <t>N/A</t>
  </si>
  <si>
    <t xml:space="preserve"> Special Interest Functions</t>
  </si>
  <si>
    <t>Biggest Percentage of Obligations</t>
  </si>
  <si>
    <t>Small Business Analysis</t>
  </si>
  <si>
    <t>Small Business</t>
  </si>
  <si>
    <t>HUBZone</t>
  </si>
  <si>
    <t>SDVOSB</t>
  </si>
  <si>
    <t>8(a) Program</t>
  </si>
  <si>
    <t>VOSB</t>
  </si>
  <si>
    <t>WOSB</t>
  </si>
  <si>
    <t>SDB</t>
  </si>
  <si>
    <t>R413</t>
  </si>
  <si>
    <t>Time of Obligation Analysis</t>
  </si>
  <si>
    <t>(as % of PSC obligations)</t>
  </si>
  <si>
    <t>R699</t>
  </si>
  <si>
    <t>R704</t>
  </si>
  <si>
    <t xml:space="preserve"> </t>
  </si>
  <si>
    <t>AD23</t>
  </si>
  <si>
    <t>R&amp;D- DEFENSE OTHER: SERVICES (ADVANCED DEVELOPMENT)</t>
  </si>
  <si>
    <t>AD25</t>
  </si>
  <si>
    <t>R&amp;D- DEFENSE OTHER: SERVICES (OPERATIONAL SYSTEMS DEVELOPMENT)</t>
  </si>
  <si>
    <t>C213</t>
  </si>
  <si>
    <t>ARCHITECT AND ENGINEERING- GENERAL: INSPECTION (NON-CONSTRUCTION)</t>
  </si>
  <si>
    <t>D306</t>
  </si>
  <si>
    <t>IT AND TELECOM- SYSTEMS ANALYSIS</t>
  </si>
  <si>
    <t>IT AND TELECOM- CYBER SECURITY AND DATA BACKUP</t>
  </si>
  <si>
    <t>F019</t>
  </si>
  <si>
    <t>NATURAL RESOURCES/CONSERVATION- OTHER WILDLIFE MANAGEMENT</t>
  </si>
  <si>
    <t>F099</t>
  </si>
  <si>
    <t>NATURAL RESOURCES/CONSERVATION- OTHER</t>
  </si>
  <si>
    <t>N047</t>
  </si>
  <si>
    <t>INSTALLATION OF EQUIPMENT- PIPE, TUBING, HOSE, AND FITTINGS</t>
  </si>
  <si>
    <t>N070</t>
  </si>
  <si>
    <t>INSTALLATION OF EQUIPMENT- ADP EQUIPMENT/SOFTWARE/SUPPLIES/SUPPORT EQUIPMENT</t>
  </si>
  <si>
    <t>SUPPORT- PROFESSIONAL: SPECIFICATIONS DEVELOPMENT</t>
  </si>
  <si>
    <t>R607</t>
  </si>
  <si>
    <t>SUPPORT- ADMINISTRATIVE: WORD PROCESSING/TYPING</t>
  </si>
  <si>
    <t>United States Department of Agriculture (USDA): Service Contract Inventory Summary Report 2013</t>
  </si>
  <si>
    <t>R612</t>
  </si>
  <si>
    <t>SUPPORT- ADMINISTRATIVE: INFORMATION RETRIEVAL</t>
  </si>
  <si>
    <t>SUPPORT- ADMINISTRATIVE: OTHER</t>
  </si>
  <si>
    <t>SUPPORT- MANAGEMENT: AUDITING</t>
  </si>
  <si>
    <t>R710</t>
  </si>
  <si>
    <t>SUPPORT- MANAGEMENT: FINANCIAL</t>
  </si>
  <si>
    <t>R799</t>
  </si>
  <si>
    <t>SUPPORT- MANAGEMENT: OTHER</t>
  </si>
  <si>
    <t>S206</t>
  </si>
  <si>
    <t>HOUSEKEEPING- GUARD</t>
  </si>
  <si>
    <t>U001</t>
  </si>
  <si>
    <t>EDUCATION/TRAINING- LECTURES</t>
  </si>
  <si>
    <t>Y1HB</t>
  </si>
  <si>
    <t>CONSTRUCTION OF GOVERNMENT-OWNED GOVERNMENT-OPERATED (GOGO) R&amp;D FACILITIES</t>
  </si>
  <si>
    <t>NA</t>
  </si>
  <si>
    <t>D316</t>
  </si>
  <si>
    <t>IT AND TELECOM- TELECOMMUNICATIONS NETWORK MANAGEMENT</t>
  </si>
</sst>
</file>

<file path=xl/styles.xml><?xml version="1.0" encoding="utf-8"?>
<styleSheet xmlns="http://schemas.openxmlformats.org/spreadsheetml/2006/main">
  <numFmts count="5">
    <numFmt numFmtId="164" formatCode="&quot;$&quot;#,##0"/>
    <numFmt numFmtId="165" formatCode="&quot;$&quot;#,##0.00;[Red]&quot;$&quot;#,##0.00"/>
    <numFmt numFmtId="166" formatCode="&quot;$&quot;#,##0.00"/>
    <numFmt numFmtId="167" formatCode="0.0%"/>
    <numFmt numFmtId="168" formatCode="0.000%"/>
  </numFmts>
  <fonts count="9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theme="0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center" wrapText="1"/>
    </xf>
    <xf numFmtId="9" fontId="2" fillId="0" borderId="6" xfId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9" fontId="2" fillId="0" borderId="5" xfId="1" applyFont="1" applyBorder="1" applyAlignment="1">
      <alignment horizontal="center" wrapText="1"/>
    </xf>
    <xf numFmtId="9" fontId="2" fillId="0" borderId="8" xfId="1" applyFont="1" applyBorder="1" applyAlignment="1">
      <alignment horizontal="center" wrapText="1"/>
    </xf>
    <xf numFmtId="9" fontId="2" fillId="0" borderId="9" xfId="1" applyFont="1" applyBorder="1" applyAlignment="1">
      <alignment horizontal="center" wrapText="1"/>
    </xf>
    <xf numFmtId="9" fontId="2" fillId="0" borderId="5" xfId="1" applyFont="1" applyFill="1" applyBorder="1" applyAlignment="1">
      <alignment horizontal="center" wrapText="1"/>
    </xf>
    <xf numFmtId="9" fontId="2" fillId="0" borderId="6" xfId="1" applyFont="1" applyFill="1" applyBorder="1" applyAlignment="1">
      <alignment horizontal="center" wrapText="1"/>
    </xf>
    <xf numFmtId="9" fontId="2" fillId="0" borderId="8" xfId="1" applyFont="1" applyFill="1" applyBorder="1" applyAlignment="1">
      <alignment horizontal="center" wrapText="1"/>
    </xf>
    <xf numFmtId="9" fontId="3" fillId="2" borderId="2" xfId="1" applyFont="1" applyFill="1" applyBorder="1"/>
    <xf numFmtId="9" fontId="3" fillId="2" borderId="3" xfId="1" applyFont="1" applyFill="1" applyBorder="1"/>
    <xf numFmtId="9" fontId="3" fillId="2" borderId="4" xfId="1" applyFont="1" applyFill="1" applyBorder="1"/>
    <xf numFmtId="9" fontId="3" fillId="0" borderId="6" xfId="1" applyFont="1" applyBorder="1"/>
    <xf numFmtId="9" fontId="3" fillId="0" borderId="9" xfId="1" applyFont="1" applyBorder="1"/>
    <xf numFmtId="9" fontId="3" fillId="0" borderId="10" xfId="1" applyFont="1" applyBorder="1"/>
    <xf numFmtId="0" fontId="3" fillId="2" borderId="5" xfId="0" applyFont="1" applyFill="1" applyBorder="1"/>
    <xf numFmtId="0" fontId="3" fillId="2" borderId="6" xfId="0" applyFont="1" applyFill="1" applyBorder="1"/>
    <xf numFmtId="164" fontId="3" fillId="2" borderId="10" xfId="0" applyNumberFormat="1" applyFont="1" applyFill="1" applyBorder="1"/>
    <xf numFmtId="9" fontId="3" fillId="2" borderId="5" xfId="1" applyFont="1" applyFill="1" applyBorder="1"/>
    <xf numFmtId="9" fontId="3" fillId="2" borderId="6" xfId="1" applyFont="1" applyFill="1" applyBorder="1"/>
    <xf numFmtId="9" fontId="3" fillId="2" borderId="8" xfId="1" applyFont="1" applyFill="1" applyBorder="1"/>
    <xf numFmtId="9" fontId="3" fillId="2" borderId="9" xfId="1" applyFont="1" applyFill="1" applyBorder="1"/>
    <xf numFmtId="9" fontId="3" fillId="2" borderId="10" xfId="1" applyFont="1" applyFill="1" applyBorder="1"/>
    <xf numFmtId="9" fontId="3" fillId="2" borderId="14" xfId="1" applyFont="1" applyFill="1" applyBorder="1"/>
    <xf numFmtId="9" fontId="3" fillId="2" borderId="15" xfId="1" applyFont="1" applyFill="1" applyBorder="1"/>
    <xf numFmtId="9" fontId="3" fillId="0" borderId="2" xfId="1" applyFont="1" applyBorder="1"/>
    <xf numFmtId="9" fontId="3" fillId="0" borderId="3" xfId="1" applyFont="1" applyBorder="1"/>
    <xf numFmtId="9" fontId="3" fillId="0" borderId="4" xfId="1" applyFont="1" applyBorder="1"/>
    <xf numFmtId="0" fontId="3" fillId="2" borderId="14" xfId="0" applyFont="1" applyFill="1" applyBorder="1"/>
    <xf numFmtId="0" fontId="3" fillId="2" borderId="15" xfId="0" applyFont="1" applyFill="1" applyBorder="1"/>
    <xf numFmtId="164" fontId="3" fillId="2" borderId="15" xfId="0" applyNumberFormat="1" applyFont="1" applyFill="1" applyBorder="1"/>
    <xf numFmtId="164" fontId="3" fillId="2" borderId="17" xfId="0" applyNumberFormat="1" applyFont="1" applyFill="1" applyBorder="1"/>
    <xf numFmtId="0" fontId="2" fillId="0" borderId="2" xfId="0" applyFont="1" applyBorder="1"/>
    <xf numFmtId="9" fontId="3" fillId="2" borderId="18" xfId="1" applyFont="1" applyFill="1" applyBorder="1"/>
    <xf numFmtId="9" fontId="3" fillId="2" borderId="19" xfId="1" applyFont="1" applyFill="1" applyBorder="1"/>
    <xf numFmtId="9" fontId="3" fillId="2" borderId="22" xfId="1" applyFont="1" applyFill="1" applyBorder="1"/>
    <xf numFmtId="9" fontId="3" fillId="2" borderId="23" xfId="1" applyFont="1" applyFill="1" applyBorder="1"/>
    <xf numFmtId="9" fontId="3" fillId="2" borderId="24" xfId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9" fontId="3" fillId="2" borderId="25" xfId="1" applyFont="1" applyFill="1" applyBorder="1"/>
    <xf numFmtId="0" fontId="3" fillId="0" borderId="27" xfId="0" applyFont="1" applyBorder="1"/>
    <xf numFmtId="164" fontId="3" fillId="2" borderId="28" xfId="0" applyNumberFormat="1" applyFont="1" applyFill="1" applyBorder="1"/>
    <xf numFmtId="164" fontId="3" fillId="0" borderId="31" xfId="0" applyNumberFormat="1" applyFont="1" applyBorder="1"/>
    <xf numFmtId="164" fontId="3" fillId="0" borderId="2" xfId="0" applyNumberFormat="1" applyFont="1" applyBorder="1"/>
    <xf numFmtId="165" fontId="7" fillId="0" borderId="11" xfId="0" applyNumberFormat="1" applyFont="1" applyFill="1" applyBorder="1" applyAlignment="1">
      <alignment horizontal="left"/>
    </xf>
    <xf numFmtId="165" fontId="7" fillId="0" borderId="5" xfId="0" applyNumberFormat="1" applyFont="1" applyFill="1" applyBorder="1" applyAlignment="1">
      <alignment horizontal="left"/>
    </xf>
    <xf numFmtId="165" fontId="7" fillId="0" borderId="30" xfId="0" applyNumberFormat="1" applyFont="1" applyFill="1" applyBorder="1" applyAlignment="1">
      <alignment horizontal="left"/>
    </xf>
    <xf numFmtId="165" fontId="7" fillId="0" borderId="16" xfId="0" applyNumberFormat="1" applyFont="1" applyFill="1" applyBorder="1" applyAlignment="1">
      <alignment horizontal="left"/>
    </xf>
    <xf numFmtId="165" fontId="7" fillId="0" borderId="32" xfId="0" applyNumberFormat="1" applyFont="1" applyFill="1" applyBorder="1" applyAlignment="1">
      <alignment horizontal="left"/>
    </xf>
    <xf numFmtId="166" fontId="7" fillId="0" borderId="30" xfId="0" applyNumberFormat="1" applyFont="1" applyFill="1" applyBorder="1" applyAlignment="1">
      <alignment horizontal="left"/>
    </xf>
    <xf numFmtId="166" fontId="7" fillId="0" borderId="16" xfId="0" applyNumberFormat="1" applyFont="1" applyFill="1" applyBorder="1" applyAlignment="1">
      <alignment horizontal="left"/>
    </xf>
    <xf numFmtId="166" fontId="7" fillId="0" borderId="33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34" xfId="0" applyFont="1" applyFill="1" applyBorder="1" applyAlignment="1">
      <alignment horizontal="left"/>
    </xf>
    <xf numFmtId="166" fontId="7" fillId="0" borderId="11" xfId="0" applyNumberFormat="1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10" fontId="3" fillId="0" borderId="8" xfId="0" applyNumberFormat="1" applyFont="1" applyFill="1" applyBorder="1" applyAlignment="1">
      <alignment horizontal="left"/>
    </xf>
    <xf numFmtId="10" fontId="3" fillId="0" borderId="26" xfId="0" applyNumberFormat="1" applyFont="1" applyFill="1" applyBorder="1" applyAlignment="1">
      <alignment horizontal="left"/>
    </xf>
    <xf numFmtId="10" fontId="3" fillId="0" borderId="13" xfId="0" applyNumberFormat="1" applyFont="1" applyFill="1" applyBorder="1" applyAlignment="1">
      <alignment horizontal="left"/>
    </xf>
    <xf numFmtId="10" fontId="3" fillId="0" borderId="12" xfId="0" applyNumberFormat="1" applyFont="1" applyFill="1" applyBorder="1" applyAlignment="1">
      <alignment horizontal="left"/>
    </xf>
    <xf numFmtId="9" fontId="3" fillId="0" borderId="13" xfId="1" applyNumberFormat="1" applyFont="1" applyBorder="1" applyAlignment="1">
      <alignment horizontal="left"/>
    </xf>
    <xf numFmtId="9" fontId="3" fillId="0" borderId="9" xfId="1" applyFont="1" applyBorder="1" applyAlignment="1">
      <alignment horizontal="center"/>
    </xf>
    <xf numFmtId="9" fontId="3" fillId="0" borderId="6" xfId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167" fontId="3" fillId="0" borderId="9" xfId="1" applyNumberFormat="1" applyFont="1" applyBorder="1" applyAlignment="1">
      <alignment horizontal="center"/>
    </xf>
    <xf numFmtId="167" fontId="3" fillId="0" borderId="12" xfId="1" applyNumberFormat="1" applyFont="1" applyBorder="1" applyAlignment="1">
      <alignment horizontal="center"/>
    </xf>
    <xf numFmtId="9" fontId="3" fillId="0" borderId="11" xfId="1" applyFont="1" applyBorder="1" applyAlignment="1">
      <alignment horizontal="center"/>
    </xf>
    <xf numFmtId="167" fontId="3" fillId="0" borderId="6" xfId="1" applyNumberFormat="1" applyFont="1" applyBorder="1" applyAlignment="1">
      <alignment horizontal="center"/>
    </xf>
    <xf numFmtId="9" fontId="3" fillId="0" borderId="12" xfId="1" applyFont="1" applyBorder="1" applyAlignment="1">
      <alignment horizontal="center"/>
    </xf>
    <xf numFmtId="10" fontId="3" fillId="0" borderId="12" xfId="1" applyNumberFormat="1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26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0" fillId="0" borderId="16" xfId="0" applyBorder="1"/>
    <xf numFmtId="9" fontId="3" fillId="2" borderId="35" xfId="1" applyFont="1" applyFill="1" applyBorder="1"/>
    <xf numFmtId="0" fontId="7" fillId="0" borderId="8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9" fontId="3" fillId="0" borderId="36" xfId="1" applyNumberFormat="1" applyFont="1" applyBorder="1" applyAlignment="1">
      <alignment horizontal="left"/>
    </xf>
    <xf numFmtId="0" fontId="0" fillId="0" borderId="26" xfId="0" applyBorder="1"/>
    <xf numFmtId="167" fontId="3" fillId="0" borderId="9" xfId="0" applyNumberFormat="1" applyFont="1" applyFill="1" applyBorder="1" applyAlignment="1">
      <alignment horizontal="center"/>
    </xf>
    <xf numFmtId="9" fontId="3" fillId="0" borderId="6" xfId="0" applyNumberFormat="1" applyFont="1" applyFill="1" applyBorder="1" applyAlignment="1">
      <alignment horizontal="center"/>
    </xf>
    <xf numFmtId="9" fontId="3" fillId="0" borderId="10" xfId="0" applyNumberFormat="1" applyFont="1" applyFill="1" applyBorder="1" applyAlignment="1">
      <alignment horizontal="center"/>
    </xf>
    <xf numFmtId="9" fontId="3" fillId="0" borderId="8" xfId="0" applyNumberFormat="1" applyFont="1" applyFill="1" applyBorder="1" applyAlignment="1">
      <alignment horizontal="center"/>
    </xf>
    <xf numFmtId="9" fontId="3" fillId="0" borderId="0" xfId="1" applyFont="1" applyBorder="1"/>
    <xf numFmtId="9" fontId="3" fillId="0" borderId="13" xfId="1" applyFont="1" applyBorder="1"/>
    <xf numFmtId="9" fontId="3" fillId="0" borderId="5" xfId="0" applyNumberFormat="1" applyFont="1" applyFill="1" applyBorder="1" applyAlignment="1">
      <alignment horizontal="center"/>
    </xf>
    <xf numFmtId="9" fontId="3" fillId="0" borderId="9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168" fontId="3" fillId="0" borderId="9" xfId="0" applyNumberFormat="1" applyFont="1" applyFill="1" applyBorder="1" applyAlignment="1">
      <alignment horizontal="center"/>
    </xf>
    <xf numFmtId="10" fontId="3" fillId="0" borderId="10" xfId="0" applyNumberFormat="1" applyFont="1" applyFill="1" applyBorder="1" applyAlignment="1">
      <alignment horizontal="center"/>
    </xf>
    <xf numFmtId="167" fontId="3" fillId="0" borderId="10" xfId="0" applyNumberFormat="1" applyFont="1" applyFill="1" applyBorder="1" applyAlignment="1">
      <alignment horizontal="center"/>
    </xf>
    <xf numFmtId="10" fontId="3" fillId="0" borderId="8" xfId="0" applyNumberFormat="1" applyFont="1" applyFill="1" applyBorder="1" applyAlignment="1">
      <alignment horizontal="center"/>
    </xf>
    <xf numFmtId="167" fontId="3" fillId="0" borderId="8" xfId="0" applyNumberFormat="1" applyFont="1" applyFill="1" applyBorder="1" applyAlignment="1">
      <alignment horizontal="center"/>
    </xf>
    <xf numFmtId="166" fontId="8" fillId="0" borderId="11" xfId="0" applyNumberFormat="1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10" fontId="3" fillId="0" borderId="10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8" fontId="3" fillId="0" borderId="10" xfId="0" applyNumberFormat="1" applyFont="1" applyBorder="1" applyAlignment="1">
      <alignment horizontal="center"/>
    </xf>
    <xf numFmtId="9" fontId="2" fillId="0" borderId="5" xfId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3" borderId="3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0" fontId="0" fillId="0" borderId="0" xfId="0" applyAlignment="1"/>
    <xf numFmtId="0" fontId="6" fillId="0" borderId="0" xfId="0" applyFont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9" fontId="2" fillId="0" borderId="21" xfId="1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3" fillId="0" borderId="12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1"/>
  <sheetViews>
    <sheetView tabSelected="1" topLeftCell="C1" zoomScale="90" zoomScaleNormal="90" workbookViewId="0">
      <selection activeCell="J28" sqref="J28"/>
    </sheetView>
  </sheetViews>
  <sheetFormatPr defaultRowHeight="12.75"/>
  <cols>
    <col min="1" max="1" width="6.28515625" customWidth="1"/>
    <col min="2" max="2" width="79.42578125" customWidth="1"/>
    <col min="3" max="3" width="15.28515625" bestFit="1" customWidth="1"/>
    <col min="4" max="4" width="12.28515625" customWidth="1"/>
    <col min="9" max="9" width="11.42578125" customWidth="1"/>
    <col min="10" max="10" width="11.7109375" customWidth="1"/>
    <col min="15" max="15" width="10" customWidth="1"/>
    <col min="17" max="17" width="10.42578125" customWidth="1"/>
    <col min="19" max="20" width="10.28515625" customWidth="1"/>
  </cols>
  <sheetData>
    <row r="1" spans="1:25" ht="18.75" thickBot="1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6" t="s">
        <v>31</v>
      </c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ht="18.75">
      <c r="A2" s="118"/>
      <c r="B2" s="119"/>
      <c r="C2" s="120"/>
      <c r="D2" s="120"/>
      <c r="E2" s="122" t="s">
        <v>0</v>
      </c>
      <c r="F2" s="123"/>
      <c r="G2" s="123"/>
      <c r="H2" s="124"/>
      <c r="I2" s="125" t="s">
        <v>1</v>
      </c>
      <c r="J2" s="123"/>
      <c r="K2" s="122" t="s">
        <v>27</v>
      </c>
      <c r="L2" s="123"/>
      <c r="M2" s="123"/>
      <c r="N2" s="124"/>
      <c r="O2" s="127" t="s">
        <v>18</v>
      </c>
      <c r="P2" s="128"/>
      <c r="Q2" s="128"/>
      <c r="R2" s="128"/>
      <c r="S2" s="128"/>
      <c r="T2" s="128"/>
      <c r="U2" s="129"/>
    </row>
    <row r="3" spans="1:25">
      <c r="A3" s="1"/>
      <c r="B3" s="2"/>
      <c r="C3" s="121"/>
      <c r="D3" s="121"/>
      <c r="E3" s="106" t="s">
        <v>28</v>
      </c>
      <c r="F3" s="107"/>
      <c r="G3" s="107"/>
      <c r="H3" s="108"/>
      <c r="I3" s="126" t="s">
        <v>28</v>
      </c>
      <c r="J3" s="107"/>
      <c r="K3" s="106" t="s">
        <v>28</v>
      </c>
      <c r="L3" s="107"/>
      <c r="M3" s="107"/>
      <c r="N3" s="108"/>
      <c r="O3" s="106" t="s">
        <v>28</v>
      </c>
      <c r="P3" s="107"/>
      <c r="Q3" s="107"/>
      <c r="R3" s="107"/>
      <c r="S3" s="107"/>
      <c r="T3" s="107"/>
      <c r="U3" s="108"/>
    </row>
    <row r="4" spans="1:25" ht="24.75" thickBot="1">
      <c r="A4" s="109"/>
      <c r="B4" s="110"/>
      <c r="C4" s="3" t="s">
        <v>2</v>
      </c>
      <c r="D4" s="5" t="s">
        <v>14</v>
      </c>
      <c r="E4" s="6" t="s">
        <v>3</v>
      </c>
      <c r="F4" s="4" t="s">
        <v>4</v>
      </c>
      <c r="G4" s="4" t="s">
        <v>5</v>
      </c>
      <c r="H4" s="7" t="s">
        <v>6</v>
      </c>
      <c r="I4" s="8" t="s">
        <v>7</v>
      </c>
      <c r="J4" s="4" t="s">
        <v>8</v>
      </c>
      <c r="K4" s="9" t="s">
        <v>9</v>
      </c>
      <c r="L4" s="10" t="s">
        <v>10</v>
      </c>
      <c r="M4" s="10" t="s">
        <v>11</v>
      </c>
      <c r="N4" s="11" t="s">
        <v>12</v>
      </c>
      <c r="O4" s="9" t="s">
        <v>19</v>
      </c>
      <c r="P4" s="10" t="s">
        <v>25</v>
      </c>
      <c r="Q4" s="10" t="s">
        <v>22</v>
      </c>
      <c r="R4" s="10" t="s">
        <v>23</v>
      </c>
      <c r="S4" s="10" t="s">
        <v>21</v>
      </c>
      <c r="T4" s="10" t="s">
        <v>20</v>
      </c>
      <c r="U4" s="11" t="s">
        <v>24</v>
      </c>
    </row>
    <row r="5" spans="1:25" ht="13.5" thickBot="1">
      <c r="A5" s="31"/>
      <c r="B5" s="32"/>
      <c r="C5" s="33"/>
      <c r="D5" s="34"/>
      <c r="E5" s="12"/>
      <c r="F5" s="13"/>
      <c r="G5" s="13"/>
      <c r="H5" s="14"/>
      <c r="I5" s="36"/>
      <c r="J5" s="27"/>
      <c r="K5" s="26"/>
      <c r="L5" s="27"/>
      <c r="M5" s="27"/>
      <c r="N5" s="44"/>
      <c r="O5" s="38"/>
      <c r="P5" s="39"/>
      <c r="Q5" s="39"/>
      <c r="R5" s="39"/>
      <c r="S5" s="39"/>
      <c r="T5" s="39"/>
      <c r="U5" s="40"/>
    </row>
    <row r="6" spans="1:25">
      <c r="A6" s="35" t="s">
        <v>16</v>
      </c>
      <c r="B6" s="45"/>
      <c r="C6" s="48"/>
      <c r="D6" s="47"/>
      <c r="E6" s="16"/>
      <c r="F6" s="15"/>
      <c r="G6" s="15"/>
      <c r="H6" s="17"/>
      <c r="I6" s="28"/>
      <c r="J6" s="29"/>
      <c r="K6" s="28"/>
      <c r="L6" s="29"/>
      <c r="M6" s="29"/>
      <c r="N6" s="30"/>
      <c r="O6" s="41"/>
      <c r="P6" s="42"/>
      <c r="Q6" s="42"/>
      <c r="R6" s="42"/>
      <c r="S6" s="42"/>
      <c r="T6" s="42"/>
      <c r="U6" s="43"/>
    </row>
    <row r="7" spans="1:25">
      <c r="A7" s="77" t="s">
        <v>32</v>
      </c>
      <c r="B7" s="60" t="s">
        <v>33</v>
      </c>
      <c r="C7" s="49">
        <v>46135.39</v>
      </c>
      <c r="D7" s="61">
        <f t="shared" ref="D7:D25" si="0">C7/134361302.6</f>
        <v>3.4336813581918937E-4</v>
      </c>
      <c r="E7" s="71">
        <f>573019.14/184072412.29</f>
        <v>3.113009347089054E-3</v>
      </c>
      <c r="F7" s="67">
        <v>0</v>
      </c>
      <c r="G7" s="67">
        <v>0</v>
      </c>
      <c r="H7" s="67">
        <v>0</v>
      </c>
      <c r="I7" s="69" t="s">
        <v>15</v>
      </c>
      <c r="J7" s="67" t="s">
        <v>15</v>
      </c>
      <c r="K7" s="69" t="s">
        <v>15</v>
      </c>
      <c r="L7" s="67" t="s">
        <v>15</v>
      </c>
      <c r="M7" s="67" t="s">
        <v>15</v>
      </c>
      <c r="N7" s="70" t="s">
        <v>15</v>
      </c>
      <c r="O7" s="87">
        <f>1085405986.55/57926843463.1</f>
        <v>1.873753033412592E-2</v>
      </c>
      <c r="P7" s="87">
        <f>277420751.21/121524808560.39</f>
        <v>2.2828322422095383E-3</v>
      </c>
      <c r="Q7" s="95">
        <f>91651177.2/10910726603.63</f>
        <v>8.4000984104493689E-3</v>
      </c>
      <c r="R7" s="67" t="s">
        <v>15</v>
      </c>
      <c r="S7" s="98">
        <f>61853251.55/4358702464.61</f>
        <v>1.4190748749704895E-2</v>
      </c>
      <c r="T7" s="98">
        <f>8253812.54/2025951847.54</f>
        <v>4.074041813985926E-3</v>
      </c>
      <c r="U7" s="99">
        <f>156334.27/846305780.66</f>
        <v>1.8472551360582834E-4</v>
      </c>
    </row>
    <row r="8" spans="1:25">
      <c r="A8" s="78" t="s">
        <v>34</v>
      </c>
      <c r="B8" s="60" t="s">
        <v>35</v>
      </c>
      <c r="C8" s="50">
        <v>2781752.09</v>
      </c>
      <c r="D8" s="61">
        <f t="shared" si="0"/>
        <v>2.0703521297954431E-2</v>
      </c>
      <c r="E8" s="71">
        <f>260805.61/184072412.29</f>
        <v>1.416864193582194E-3</v>
      </c>
      <c r="F8" s="67">
        <v>0</v>
      </c>
      <c r="G8" s="67">
        <v>0</v>
      </c>
      <c r="H8" s="67">
        <v>0</v>
      </c>
      <c r="I8" s="69" t="s">
        <v>15</v>
      </c>
      <c r="J8" s="67" t="s">
        <v>15</v>
      </c>
      <c r="K8" s="69" t="s">
        <v>15</v>
      </c>
      <c r="L8" s="67" t="s">
        <v>15</v>
      </c>
      <c r="M8" s="67" t="s">
        <v>15</v>
      </c>
      <c r="N8" s="70" t="s">
        <v>15</v>
      </c>
      <c r="O8" s="87">
        <f>1869494351.95/57926843463.1</f>
        <v>3.2273368272533048E-2</v>
      </c>
      <c r="P8" s="87">
        <f>602909988.82/121524808560.39</f>
        <v>4.9612091223364702E-3</v>
      </c>
      <c r="Q8" s="95">
        <f>264039560.8/10910726603.63</f>
        <v>2.4199997891263633E-2</v>
      </c>
      <c r="R8" s="97">
        <f>755015.64/224966593.76</f>
        <v>3.356123357610462E-3</v>
      </c>
      <c r="S8" s="98">
        <f>120558294.79/4358702464.61</f>
        <v>2.7659216422515571E-2</v>
      </c>
      <c r="T8" s="98">
        <f>226378203.75/2025951847.54</f>
        <v>0.11173918275741765</v>
      </c>
      <c r="U8" s="97">
        <f>11041170.52/846305780.66</f>
        <v>1.3046313486585703E-2</v>
      </c>
      <c r="V8" s="80"/>
    </row>
    <row r="9" spans="1:25">
      <c r="A9" s="78" t="s">
        <v>36</v>
      </c>
      <c r="B9" s="60" t="s">
        <v>37</v>
      </c>
      <c r="C9" s="50">
        <v>152288.85</v>
      </c>
      <c r="D9" s="63">
        <f t="shared" si="0"/>
        <v>1.1334279070914575E-3</v>
      </c>
      <c r="E9" s="71" t="s">
        <v>67</v>
      </c>
      <c r="F9" s="67" t="s">
        <v>15</v>
      </c>
      <c r="G9" s="66" t="s">
        <v>67</v>
      </c>
      <c r="H9" s="68" t="s">
        <v>15</v>
      </c>
      <c r="I9" s="93">
        <v>0.8651977585796784</v>
      </c>
      <c r="J9" s="130">
        <v>7.0857505065151016E-3</v>
      </c>
      <c r="K9" s="93">
        <v>0.29889629256242745</v>
      </c>
      <c r="L9" s="88">
        <v>0.46789375286539159</v>
      </c>
      <c r="M9" s="88">
        <v>0.10898909380543348</v>
      </c>
      <c r="N9" s="90">
        <v>0.1242208607667475</v>
      </c>
      <c r="O9" s="69" t="s">
        <v>15</v>
      </c>
      <c r="P9" s="95">
        <f>55791965.21/121524808560.39</f>
        <v>4.5909938777871011E-4</v>
      </c>
      <c r="Q9" s="67" t="s">
        <v>15</v>
      </c>
      <c r="R9" s="67" t="s">
        <v>15</v>
      </c>
      <c r="S9" s="67" t="s">
        <v>15</v>
      </c>
      <c r="T9" s="67" t="s">
        <v>15</v>
      </c>
      <c r="U9" s="70" t="s">
        <v>15</v>
      </c>
    </row>
    <row r="10" spans="1:25">
      <c r="A10" s="82" t="s">
        <v>38</v>
      </c>
      <c r="B10" s="60" t="s">
        <v>39</v>
      </c>
      <c r="C10" s="51">
        <v>29185830.129999999</v>
      </c>
      <c r="D10" s="61">
        <f t="shared" si="0"/>
        <v>0.21721901741967781</v>
      </c>
      <c r="E10" s="71">
        <f>6534678.96/184072412.29</f>
        <v>3.5500588484192998E-2</v>
      </c>
      <c r="F10" s="67">
        <v>0</v>
      </c>
      <c r="G10" s="71">
        <f>1090799.3/184072412.29</f>
        <v>5.9259249467621573E-3</v>
      </c>
      <c r="H10" s="68">
        <v>0</v>
      </c>
      <c r="I10" s="93">
        <v>0.80157851542330105</v>
      </c>
      <c r="J10" s="130">
        <v>0.26687568268965101</v>
      </c>
      <c r="K10" s="93">
        <v>0.17703281476997482</v>
      </c>
      <c r="L10" s="88">
        <v>0.25938396106543138</v>
      </c>
      <c r="M10" s="88">
        <v>0.16513702136822758</v>
      </c>
      <c r="N10" s="90">
        <v>0.39844620279636628</v>
      </c>
      <c r="O10" s="87">
        <f>8576415248.65/57926843463.1</f>
        <v>0.14805597432757173</v>
      </c>
      <c r="P10" s="87">
        <f>3074117649.04/121524808560.39</f>
        <v>2.5296214702633015E-2</v>
      </c>
      <c r="Q10" s="67" t="s">
        <v>15</v>
      </c>
      <c r="R10" s="97">
        <f>2104093.41/224966593.76</f>
        <v>9.3529149143125653E-3</v>
      </c>
      <c r="S10" s="98">
        <f>474923925.59/4358702464.61</f>
        <v>0.10895993232988303</v>
      </c>
      <c r="T10" s="98">
        <f>161038904.48/2025951847.54</f>
        <v>7.9488021729411051E-2</v>
      </c>
      <c r="U10" s="90">
        <f>88903555.91/846305780.66</f>
        <v>0.10504897631759962</v>
      </c>
    </row>
    <row r="11" spans="1:25">
      <c r="A11" s="82" t="s">
        <v>13</v>
      </c>
      <c r="B11" s="60" t="s">
        <v>40</v>
      </c>
      <c r="C11" s="51">
        <v>6263488.0199999996</v>
      </c>
      <c r="D11" s="61">
        <f t="shared" si="0"/>
        <v>4.6616755708648511E-2</v>
      </c>
      <c r="E11" s="66" t="s">
        <v>15</v>
      </c>
      <c r="F11" s="67" t="s">
        <v>15</v>
      </c>
      <c r="G11" s="67" t="s">
        <v>15</v>
      </c>
      <c r="H11" s="68" t="s">
        <v>15</v>
      </c>
      <c r="I11" s="93">
        <v>0.69625340261499724</v>
      </c>
      <c r="J11" s="130">
        <v>0.3059049538790331</v>
      </c>
      <c r="K11" s="93">
        <v>0.12312147784180504</v>
      </c>
      <c r="L11" s="88">
        <v>0.65979424958128186</v>
      </c>
      <c r="M11" s="88">
        <v>3.8464761954672536E-2</v>
      </c>
      <c r="N11" s="90">
        <v>0.17861951062224049</v>
      </c>
      <c r="O11" s="69" t="s">
        <v>15</v>
      </c>
      <c r="P11" s="87">
        <f>280053397.88/121524808560.39</f>
        <v>2.3044956926702872E-3</v>
      </c>
      <c r="Q11" s="67" t="s">
        <v>15</v>
      </c>
      <c r="R11" s="67" t="s">
        <v>15</v>
      </c>
      <c r="S11" s="67" t="s">
        <v>15</v>
      </c>
      <c r="T11" s="67" t="s">
        <v>15</v>
      </c>
      <c r="U11" s="70" t="s">
        <v>15</v>
      </c>
    </row>
    <row r="12" spans="1:25">
      <c r="A12" s="79" t="s">
        <v>41</v>
      </c>
      <c r="B12" s="60" t="s">
        <v>42</v>
      </c>
      <c r="C12" s="51">
        <v>1040328.62</v>
      </c>
      <c r="D12" s="61">
        <f t="shared" si="0"/>
        <v>7.7427696804719731E-3</v>
      </c>
      <c r="E12" s="69" t="s">
        <v>15</v>
      </c>
      <c r="F12" s="67" t="s">
        <v>15</v>
      </c>
      <c r="G12" s="67" t="s">
        <v>15</v>
      </c>
      <c r="H12" s="68" t="s">
        <v>15</v>
      </c>
      <c r="I12" s="93">
        <v>0.71541958665813188</v>
      </c>
      <c r="J12" s="130">
        <v>3.4838744517517964E-2</v>
      </c>
      <c r="K12" s="93">
        <v>0.12975696306539758</v>
      </c>
      <c r="L12" s="88">
        <v>0.1343602205342313</v>
      </c>
      <c r="M12" s="88">
        <v>0.12417095989607257</v>
      </c>
      <c r="N12" s="90">
        <v>0.6117118565042986</v>
      </c>
      <c r="O12" s="69" t="s">
        <v>15</v>
      </c>
      <c r="P12" s="96">
        <f>7958654.93/121524808560.39</f>
        <v>6.5489960644908655E-5</v>
      </c>
      <c r="Q12" s="67" t="s">
        <v>15</v>
      </c>
      <c r="R12" s="67" t="s">
        <v>15</v>
      </c>
      <c r="S12" s="67" t="s">
        <v>15</v>
      </c>
      <c r="T12" s="67" t="s">
        <v>15</v>
      </c>
      <c r="U12" s="70" t="s">
        <v>15</v>
      </c>
    </row>
    <row r="13" spans="1:25">
      <c r="A13" s="79" t="s">
        <v>43</v>
      </c>
      <c r="B13" s="60" t="s">
        <v>44</v>
      </c>
      <c r="C13" s="50">
        <v>41238231.609999999</v>
      </c>
      <c r="D13" s="63">
        <f t="shared" si="0"/>
        <v>0.30692045114186023</v>
      </c>
      <c r="E13" s="66" t="s">
        <v>15</v>
      </c>
      <c r="F13" s="67" t="s">
        <v>15</v>
      </c>
      <c r="G13" s="67" t="s">
        <v>15</v>
      </c>
      <c r="H13" s="68" t="s">
        <v>15</v>
      </c>
      <c r="I13" s="93">
        <v>1.0115447701910592</v>
      </c>
      <c r="J13" s="130">
        <v>2.6614323567639837E-2</v>
      </c>
      <c r="K13" s="93">
        <v>0.18429607270051143</v>
      </c>
      <c r="L13" s="88">
        <v>4.3011665547010136E-2</v>
      </c>
      <c r="M13" s="88">
        <v>0.40084315093919365</v>
      </c>
      <c r="N13" s="90">
        <v>0.37184911081328481</v>
      </c>
      <c r="O13" s="69" t="s">
        <v>15</v>
      </c>
      <c r="P13" s="87">
        <f>241447114.2/121524808560.39</f>
        <v>1.9868133680705723E-3</v>
      </c>
      <c r="Q13" s="67" t="s">
        <v>15</v>
      </c>
      <c r="R13" s="97">
        <f>2976008.63/224966593.76</f>
        <v>1.3228669111534313E-2</v>
      </c>
      <c r="S13" s="67" t="s">
        <v>15</v>
      </c>
      <c r="T13" s="67" t="s">
        <v>15</v>
      </c>
      <c r="U13" s="70" t="s">
        <v>15</v>
      </c>
    </row>
    <row r="14" spans="1:25">
      <c r="A14" s="77" t="s">
        <v>45</v>
      </c>
      <c r="B14" s="60" t="s">
        <v>46</v>
      </c>
      <c r="C14" s="50">
        <v>54358.35</v>
      </c>
      <c r="D14" s="62">
        <f t="shared" si="0"/>
        <v>4.0456849515539006E-4</v>
      </c>
      <c r="E14" s="69" t="s">
        <v>15</v>
      </c>
      <c r="F14" s="67" t="s">
        <v>15</v>
      </c>
      <c r="G14" s="67" t="s">
        <v>15</v>
      </c>
      <c r="H14" s="68" t="s">
        <v>15</v>
      </c>
      <c r="I14" s="93">
        <v>0.9473527742572706</v>
      </c>
      <c r="J14" s="130">
        <v>0</v>
      </c>
      <c r="K14" s="93">
        <v>6.5719331261037142E-2</v>
      </c>
      <c r="L14" s="88">
        <v>4.0212150464079138E-2</v>
      </c>
      <c r="M14" s="88">
        <v>0.16519325078331301</v>
      </c>
      <c r="N14" s="90">
        <v>0.72887526749157072</v>
      </c>
      <c r="O14" s="69" t="s">
        <v>15</v>
      </c>
      <c r="P14" s="67" t="s">
        <v>15</v>
      </c>
      <c r="Q14" s="67" t="s">
        <v>15</v>
      </c>
      <c r="R14" s="67" t="s">
        <v>15</v>
      </c>
      <c r="S14" s="67" t="s">
        <v>15</v>
      </c>
      <c r="T14" s="67" t="s">
        <v>15</v>
      </c>
      <c r="U14" s="70" t="s">
        <v>15</v>
      </c>
    </row>
    <row r="15" spans="1:25">
      <c r="A15" s="78" t="s">
        <v>47</v>
      </c>
      <c r="B15" s="60" t="s">
        <v>48</v>
      </c>
      <c r="C15" s="52">
        <v>51547.77</v>
      </c>
      <c r="D15" s="61">
        <f t="shared" si="0"/>
        <v>3.8365041870321969E-4</v>
      </c>
      <c r="E15" s="69" t="s">
        <v>15</v>
      </c>
      <c r="F15" s="67" t="s">
        <v>15</v>
      </c>
      <c r="G15" s="67" t="s">
        <v>15</v>
      </c>
      <c r="H15" s="68" t="s">
        <v>15</v>
      </c>
      <c r="I15" s="93">
        <v>1.4178560596373213</v>
      </c>
      <c r="J15" s="130">
        <v>0</v>
      </c>
      <c r="K15" s="93" t="s">
        <v>15</v>
      </c>
      <c r="L15" s="88">
        <v>8.0314041988561541E-2</v>
      </c>
      <c r="M15" s="88">
        <v>0.83009571089285228</v>
      </c>
      <c r="N15" s="90">
        <v>7.3912229699849466E-2</v>
      </c>
      <c r="O15" s="69" t="s">
        <v>15</v>
      </c>
      <c r="P15" s="67" t="s">
        <v>15</v>
      </c>
      <c r="Q15" s="67" t="s">
        <v>15</v>
      </c>
      <c r="R15" s="67" t="s">
        <v>15</v>
      </c>
      <c r="S15" s="67" t="s">
        <v>15</v>
      </c>
      <c r="T15" s="67" t="s">
        <v>15</v>
      </c>
      <c r="U15" s="70" t="s">
        <v>15</v>
      </c>
    </row>
    <row r="16" spans="1:25">
      <c r="A16" s="78" t="s">
        <v>26</v>
      </c>
      <c r="B16" s="60" t="s">
        <v>49</v>
      </c>
      <c r="C16" s="50">
        <v>39779.040000000001</v>
      </c>
      <c r="D16" s="64">
        <f t="shared" si="0"/>
        <v>2.960602437624775E-4</v>
      </c>
      <c r="E16" s="69" t="s">
        <v>15</v>
      </c>
      <c r="F16" s="67" t="s">
        <v>15</v>
      </c>
      <c r="G16" s="67" t="s">
        <v>15</v>
      </c>
      <c r="H16" s="66" t="s">
        <v>15</v>
      </c>
      <c r="I16" s="93">
        <v>0</v>
      </c>
      <c r="J16" s="130">
        <v>0</v>
      </c>
      <c r="K16" s="93">
        <v>2.2314113339459901E-2</v>
      </c>
      <c r="L16" s="88">
        <v>0.63293758122435839</v>
      </c>
      <c r="M16" s="88">
        <v>0.13017764767391143</v>
      </c>
      <c r="N16" s="90">
        <v>0.21457065776227027</v>
      </c>
      <c r="O16" s="87">
        <f>398627222.84/57926843463.1</f>
        <v>6.8815630027196225E-3</v>
      </c>
      <c r="P16" s="88" t="s">
        <v>15</v>
      </c>
      <c r="Q16" s="95">
        <f>25672144.98/10910726603.63</f>
        <v>2.3529271617399776E-3</v>
      </c>
      <c r="R16" s="97">
        <f>34779.04/224966593.76</f>
        <v>1.545964643848551E-4</v>
      </c>
      <c r="S16" s="98">
        <f>17353893.86/4358702464.61</f>
        <v>3.9814357600462553E-3</v>
      </c>
      <c r="T16" s="98">
        <f>14031354.78/2025951847.54</f>
        <v>6.9258086252333628E-3</v>
      </c>
      <c r="U16" s="97">
        <f>2943003.77/846305780.66</f>
        <v>3.4774709534712966E-3</v>
      </c>
      <c r="V16" s="80"/>
    </row>
    <row r="17" spans="1:22">
      <c r="A17" s="78" t="s">
        <v>50</v>
      </c>
      <c r="B17" s="60" t="s">
        <v>51</v>
      </c>
      <c r="C17" s="49">
        <v>71910.720000000001</v>
      </c>
      <c r="D17" s="61">
        <f t="shared" si="0"/>
        <v>5.3520409975543065E-4</v>
      </c>
      <c r="E17" s="73" t="s">
        <v>15</v>
      </c>
      <c r="F17" s="67" t="s">
        <v>15</v>
      </c>
      <c r="G17" s="67" t="s">
        <v>15</v>
      </c>
      <c r="H17" s="66" t="s">
        <v>15</v>
      </c>
      <c r="I17" s="93">
        <v>0.74436219435904161</v>
      </c>
      <c r="J17" s="130">
        <v>8.7255877059634418E-2</v>
      </c>
      <c r="K17" s="93">
        <v>9.9518510074293756E-2</v>
      </c>
      <c r="L17" s="88">
        <v>5.9845818234679819E-2</v>
      </c>
      <c r="M17" s="88">
        <v>0.53193283679911241</v>
      </c>
      <c r="N17" s="90">
        <v>0.30870283489191402</v>
      </c>
      <c r="O17" s="87">
        <f>601041768.17/57926843463.1</f>
        <v>1.0375876402671066E-2</v>
      </c>
      <c r="P17" s="88" t="s">
        <v>15</v>
      </c>
      <c r="Q17" s="95">
        <f>150104311.04/10910726603.63</f>
        <v>1.3757499064274993E-2</v>
      </c>
      <c r="R17" s="89" t="s">
        <v>15</v>
      </c>
      <c r="S17" s="98">
        <f>42493703.36/4358702464.61</f>
        <v>9.7491635882519852E-3</v>
      </c>
      <c r="T17" s="98">
        <f>24910893.88/2025951847.54</f>
        <v>1.2295896326582442E-2</v>
      </c>
      <c r="U17" s="97">
        <f>2034675.95/846305780.66</f>
        <v>2.4041853387947293E-3</v>
      </c>
      <c r="V17" s="80"/>
    </row>
    <row r="18" spans="1:22">
      <c r="A18" s="79" t="s">
        <v>53</v>
      </c>
      <c r="B18" s="60" t="s">
        <v>54</v>
      </c>
      <c r="C18" s="52">
        <v>891934.63</v>
      </c>
      <c r="D18" s="61">
        <f t="shared" si="0"/>
        <v>6.6383297328943876E-3</v>
      </c>
      <c r="E18" s="72">
        <f>716810.19/184072412.29</f>
        <v>3.8941750210275358E-3</v>
      </c>
      <c r="F18" s="67">
        <v>0</v>
      </c>
      <c r="G18" s="76">
        <f>34444.8/184072412.29</f>
        <v>1.8712635734752779E-4</v>
      </c>
      <c r="H18" s="70">
        <v>0</v>
      </c>
      <c r="I18" s="93">
        <v>0.63097214396202472</v>
      </c>
      <c r="J18" s="130">
        <v>0</v>
      </c>
      <c r="K18" s="93" t="s">
        <v>15</v>
      </c>
      <c r="L18" s="88" t="s">
        <v>15</v>
      </c>
      <c r="M18" s="88">
        <v>0.63097214396202472</v>
      </c>
      <c r="N18" s="90">
        <v>0.36902879538400002</v>
      </c>
      <c r="O18" s="87">
        <f>379827138.72/57926843463.1</f>
        <v>6.5570142616514894E-3</v>
      </c>
      <c r="P18" s="88" t="s">
        <v>15</v>
      </c>
      <c r="Q18" s="95">
        <f>107212589.05/10910726603.63</f>
        <v>9.8263473135080086E-3</v>
      </c>
      <c r="R18" s="89" t="s">
        <v>15</v>
      </c>
      <c r="S18" s="98">
        <f>9079182.05/4358702464.61</f>
        <v>2.0830011049658495E-3</v>
      </c>
      <c r="T18" s="98">
        <f>5003049.77/2025951847.54</f>
        <v>2.4694810866679397E-3</v>
      </c>
      <c r="U18" s="98">
        <f>1386789.71/846305780.66</f>
        <v>1.6386390613077205E-3</v>
      </c>
      <c r="V18" s="80"/>
    </row>
    <row r="19" spans="1:22">
      <c r="A19" s="79" t="s">
        <v>29</v>
      </c>
      <c r="B19" s="60" t="s">
        <v>55</v>
      </c>
      <c r="C19" s="49">
        <v>19679471.59</v>
      </c>
      <c r="D19" s="61">
        <f t="shared" si="0"/>
        <v>0.14646681156840766</v>
      </c>
      <c r="E19" s="72">
        <f>5852919.74/184072412.29</f>
        <v>3.1796832926701254E-2</v>
      </c>
      <c r="F19" s="67">
        <v>0</v>
      </c>
      <c r="G19" s="74">
        <f>9176554.87/184072412.29</f>
        <v>4.9852961428802488E-2</v>
      </c>
      <c r="H19" s="66">
        <v>0</v>
      </c>
      <c r="I19" s="93" t="s">
        <v>15</v>
      </c>
      <c r="J19" s="130" t="s">
        <v>15</v>
      </c>
      <c r="K19" s="93" t="s">
        <v>15</v>
      </c>
      <c r="L19" s="88" t="s">
        <v>15</v>
      </c>
      <c r="M19" s="88" t="s">
        <v>15</v>
      </c>
      <c r="N19" s="90" t="s">
        <v>15</v>
      </c>
      <c r="O19" s="87">
        <f>15708611288.32/57926843463.1</f>
        <v>0.27118017052537219</v>
      </c>
      <c r="P19" s="88" t="s">
        <v>15</v>
      </c>
      <c r="Q19" s="95">
        <f>3442814.54/10910726603.63</f>
        <v>3.1554402058379645E-4</v>
      </c>
      <c r="R19" s="89" t="s">
        <v>15</v>
      </c>
      <c r="S19" s="98">
        <f>2109597801.5/4358702464.61</f>
        <v>0.48399674412939286</v>
      </c>
      <c r="T19" s="98">
        <f>759053117.72/2025951847.54</f>
        <v>0.37466493522127675</v>
      </c>
      <c r="U19" s="100">
        <f>396017352.14/846305780.66</f>
        <v>0.46793648488512263</v>
      </c>
    </row>
    <row r="20" spans="1:22">
      <c r="A20" s="77" t="s">
        <v>30</v>
      </c>
      <c r="B20" s="60" t="s">
        <v>56</v>
      </c>
      <c r="C20" s="52">
        <v>3349101.78</v>
      </c>
      <c r="D20" s="61">
        <f t="shared" si="0"/>
        <v>2.4926088949661612E-2</v>
      </c>
      <c r="E20" s="72">
        <f>119842.57/184072412.29</f>
        <v>6.5106209295063731E-4</v>
      </c>
      <c r="F20" s="67">
        <v>0</v>
      </c>
      <c r="G20" s="75">
        <v>0</v>
      </c>
      <c r="H20" s="70">
        <v>0</v>
      </c>
      <c r="I20" s="93">
        <v>0.94736649574429987</v>
      </c>
      <c r="J20" s="130">
        <v>0</v>
      </c>
      <c r="K20" s="93">
        <v>0.220966505228226</v>
      </c>
      <c r="L20" s="88">
        <v>0.35443972647340627</v>
      </c>
      <c r="M20" s="88" t="s">
        <v>15</v>
      </c>
      <c r="N20" s="90">
        <v>0.29268048356168852</v>
      </c>
      <c r="O20" s="87">
        <f>957056622.07/57926843463.1</f>
        <v>1.6521815532373262E-2</v>
      </c>
      <c r="P20" s="88" t="s">
        <v>15</v>
      </c>
      <c r="Q20" s="95">
        <f>98041095.06/10910726603.63</f>
        <v>8.9857530686711304E-3</v>
      </c>
      <c r="R20" s="89" t="s">
        <v>15</v>
      </c>
      <c r="S20" s="98">
        <f>28409847.71/4358702464.61</f>
        <v>6.5179598609151701E-3</v>
      </c>
      <c r="T20" s="98">
        <f>9446499.49/2025951847.54</f>
        <v>4.6627463043953177E-3</v>
      </c>
      <c r="U20" s="98">
        <f>63796459.2/846305780.66</f>
        <v>7.5382279854271705E-2</v>
      </c>
      <c r="V20" s="80"/>
    </row>
    <row r="21" spans="1:22">
      <c r="A21" s="78" t="s">
        <v>57</v>
      </c>
      <c r="B21" s="60" t="s">
        <v>58</v>
      </c>
      <c r="C21" s="51">
        <v>4364471.26</v>
      </c>
      <c r="D21" s="61">
        <f t="shared" si="0"/>
        <v>3.2483097257498601E-2</v>
      </c>
      <c r="E21" s="72">
        <f>133618.26/184072412.29</f>
        <v>7.2590052109214971E-4</v>
      </c>
      <c r="F21" s="68">
        <v>0</v>
      </c>
      <c r="G21" s="68">
        <v>0</v>
      </c>
      <c r="H21" s="70">
        <v>0</v>
      </c>
      <c r="I21" s="69" t="s">
        <v>15</v>
      </c>
      <c r="J21" s="67" t="s">
        <v>15</v>
      </c>
      <c r="K21" s="69" t="s">
        <v>15</v>
      </c>
      <c r="L21" s="67" t="s">
        <v>15</v>
      </c>
      <c r="M21" s="67" t="s">
        <v>15</v>
      </c>
      <c r="N21" s="70" t="s">
        <v>15</v>
      </c>
      <c r="O21" s="87">
        <f>1092154600.5/57926843463.1</f>
        <v>1.8854032693766818E-2</v>
      </c>
      <c r="P21" s="67" t="s">
        <v>15</v>
      </c>
      <c r="Q21" s="95">
        <f>198606044.16/10910726603.63</f>
        <v>1.8202824740739428E-2</v>
      </c>
      <c r="R21" s="89" t="s">
        <v>15</v>
      </c>
      <c r="S21" s="98">
        <f>147120846.18/4358702464.61</f>
        <v>3.3753358338755944E-2</v>
      </c>
      <c r="T21" s="98">
        <f>35180586.62/2025951847.54</f>
        <v>1.7364966824220337E-2</v>
      </c>
      <c r="U21" s="100">
        <f>77282610.72/846305780.66</f>
        <v>9.1317597594252981E-2</v>
      </c>
    </row>
    <row r="22" spans="1:22">
      <c r="A22" s="78" t="s">
        <v>59</v>
      </c>
      <c r="B22" s="60" t="s">
        <v>60</v>
      </c>
      <c r="C22" s="49">
        <v>18366429.280000001</v>
      </c>
      <c r="D22" s="61">
        <f t="shared" si="0"/>
        <v>0.13669433776388532</v>
      </c>
      <c r="E22" s="72">
        <f>2598956.43/184072412.29</f>
        <v>1.4119206662568372E-2</v>
      </c>
      <c r="F22" s="74">
        <f>3577367.62/184072412.29</f>
        <v>1.943456694838103E-2</v>
      </c>
      <c r="G22" s="72">
        <f>8821780.93/184072412.29</f>
        <v>4.7925600692957593E-2</v>
      </c>
      <c r="H22" s="70">
        <v>0</v>
      </c>
      <c r="I22" s="69" t="s">
        <v>15</v>
      </c>
      <c r="J22" s="67" t="s">
        <v>15</v>
      </c>
      <c r="K22" s="69" t="s">
        <v>15</v>
      </c>
      <c r="L22" s="67" t="s">
        <v>15</v>
      </c>
      <c r="M22" s="67" t="s">
        <v>15</v>
      </c>
      <c r="N22" s="70" t="s">
        <v>15</v>
      </c>
      <c r="O22" s="87">
        <f>15961329138.63/57926843463.1</f>
        <v>0.27554287760902302</v>
      </c>
      <c r="P22" s="67" t="s">
        <v>15</v>
      </c>
      <c r="Q22" s="95">
        <f>3277210332.77/10910726603.63</f>
        <v>0.30036591070659513</v>
      </c>
      <c r="R22" s="89">
        <f>2501338.43/224966593.76</f>
        <v>1.1118710508052101E-2</v>
      </c>
      <c r="S22" s="98">
        <f>1063764282.64/4358702464.61</f>
        <v>0.2440552644455812</v>
      </c>
      <c r="T22" s="98">
        <f>703717831.86/2025951847.54</f>
        <v>0.347351706662962</v>
      </c>
      <c r="U22" s="98">
        <f>406509854.96/846305780.66</f>
        <v>0.48033448931777262</v>
      </c>
      <c r="V22" s="80"/>
    </row>
    <row r="23" spans="1:22">
      <c r="A23" s="79" t="s">
        <v>61</v>
      </c>
      <c r="B23" s="60" t="s">
        <v>62</v>
      </c>
      <c r="C23" s="49">
        <v>6486599.6699999999</v>
      </c>
      <c r="D23" s="61">
        <f t="shared" si="0"/>
        <v>4.8277290741300091E-2</v>
      </c>
      <c r="E23" s="73" t="s">
        <v>15</v>
      </c>
      <c r="F23" s="67" t="s">
        <v>15</v>
      </c>
      <c r="G23" s="75" t="s">
        <v>15</v>
      </c>
      <c r="H23" s="70" t="s">
        <v>15</v>
      </c>
      <c r="I23" s="69" t="s">
        <v>15</v>
      </c>
      <c r="J23" s="67" t="s">
        <v>15</v>
      </c>
      <c r="K23" s="69" t="s">
        <v>15</v>
      </c>
      <c r="L23" s="67" t="s">
        <v>15</v>
      </c>
      <c r="M23" s="67" t="s">
        <v>15</v>
      </c>
      <c r="N23" s="70" t="s">
        <v>15</v>
      </c>
      <c r="O23" s="69" t="s">
        <v>15</v>
      </c>
      <c r="P23" s="67" t="s">
        <v>15</v>
      </c>
      <c r="Q23" s="67" t="s">
        <v>15</v>
      </c>
      <c r="R23" s="98">
        <f>644982.23/224966593.76</f>
        <v>2.8670133606062561E-3</v>
      </c>
      <c r="S23" s="67" t="s">
        <v>15</v>
      </c>
      <c r="T23" s="67" t="s">
        <v>15</v>
      </c>
      <c r="U23" s="70" t="s">
        <v>15</v>
      </c>
    </row>
    <row r="24" spans="1:22">
      <c r="A24" s="77" t="s">
        <v>63</v>
      </c>
      <c r="B24" s="60" t="s">
        <v>64</v>
      </c>
      <c r="C24" s="50">
        <v>254628.08</v>
      </c>
      <c r="D24" s="63">
        <f t="shared" si="0"/>
        <v>1.8950998172296671E-3</v>
      </c>
      <c r="E24" s="73" t="s">
        <v>15</v>
      </c>
      <c r="F24" s="68" t="s">
        <v>15</v>
      </c>
      <c r="G24" s="67" t="s">
        <v>15</v>
      </c>
      <c r="H24" s="66" t="s">
        <v>15</v>
      </c>
      <c r="I24" s="69" t="s">
        <v>15</v>
      </c>
      <c r="J24" s="67" t="s">
        <v>15</v>
      </c>
      <c r="K24" s="69" t="s">
        <v>15</v>
      </c>
      <c r="L24" s="67" t="s">
        <v>15</v>
      </c>
      <c r="M24" s="67" t="s">
        <v>15</v>
      </c>
      <c r="N24" s="70" t="s">
        <v>15</v>
      </c>
      <c r="O24" s="69" t="s">
        <v>15</v>
      </c>
      <c r="P24" s="67" t="s">
        <v>15</v>
      </c>
      <c r="Q24" s="67" t="s">
        <v>15</v>
      </c>
      <c r="R24" s="97">
        <f>25178/224966593.76</f>
        <v>1.1191883905599123E-4</v>
      </c>
      <c r="S24" s="67" t="s">
        <v>15</v>
      </c>
      <c r="T24" s="67" t="s">
        <v>15</v>
      </c>
      <c r="U24" s="70" t="s">
        <v>15</v>
      </c>
    </row>
    <row r="25" spans="1:22" ht="13.5" thickBot="1">
      <c r="A25" s="79" t="s">
        <v>65</v>
      </c>
      <c r="B25" s="60" t="s">
        <v>66</v>
      </c>
      <c r="C25" s="53">
        <v>43015.72</v>
      </c>
      <c r="D25" s="61">
        <f t="shared" si="0"/>
        <v>3.2014962022257148E-4</v>
      </c>
      <c r="E25" s="69" t="s">
        <v>15</v>
      </c>
      <c r="F25" s="75" t="s">
        <v>15</v>
      </c>
      <c r="G25" s="68" t="s">
        <v>15</v>
      </c>
      <c r="H25" s="70" t="s">
        <v>15</v>
      </c>
      <c r="I25" s="69" t="s">
        <v>15</v>
      </c>
      <c r="J25" s="67" t="s">
        <v>15</v>
      </c>
      <c r="K25" s="69" t="s">
        <v>15</v>
      </c>
      <c r="L25" s="67" t="s">
        <v>15</v>
      </c>
      <c r="M25" s="67" t="s">
        <v>15</v>
      </c>
      <c r="N25" s="70" t="s">
        <v>15</v>
      </c>
      <c r="O25" s="69" t="s">
        <v>15</v>
      </c>
      <c r="P25" s="67" t="s">
        <v>15</v>
      </c>
      <c r="Q25" s="67" t="s">
        <v>15</v>
      </c>
      <c r="R25" s="67" t="s">
        <v>15</v>
      </c>
      <c r="S25" s="67" t="s">
        <v>15</v>
      </c>
      <c r="T25" s="67" t="s">
        <v>15</v>
      </c>
      <c r="U25" s="70" t="s">
        <v>15</v>
      </c>
    </row>
    <row r="26" spans="1:22" ht="13.5" thickTop="1">
      <c r="A26" s="18"/>
      <c r="B26" s="19"/>
      <c r="C26" s="46"/>
      <c r="D26" s="20"/>
      <c r="E26" s="21"/>
      <c r="F26" s="22"/>
      <c r="G26" s="22"/>
      <c r="H26" s="23"/>
      <c r="I26" s="24"/>
      <c r="J26" s="22"/>
      <c r="K26" s="21"/>
      <c r="L26" s="22"/>
      <c r="M26" s="22"/>
      <c r="N26" s="25"/>
      <c r="O26" s="81"/>
      <c r="P26" s="81"/>
      <c r="Q26" s="81"/>
      <c r="R26" s="81"/>
      <c r="S26" s="81"/>
      <c r="T26" s="81"/>
      <c r="U26" s="37"/>
    </row>
    <row r="27" spans="1:22">
      <c r="A27" s="114" t="s">
        <v>17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91"/>
      <c r="P27" s="91"/>
      <c r="Q27" s="91"/>
      <c r="R27" s="91"/>
      <c r="S27" s="91"/>
      <c r="T27" s="91"/>
      <c r="U27" s="92"/>
    </row>
    <row r="28" spans="1:22">
      <c r="A28" s="83" t="s">
        <v>45</v>
      </c>
      <c r="B28" s="58" t="s">
        <v>46</v>
      </c>
      <c r="C28" s="56">
        <v>71851331.590000004</v>
      </c>
      <c r="D28" s="85">
        <f t="shared" ref="D28:D37" si="1">C28/972246027.44</f>
        <v>7.3902417250487712E-2</v>
      </c>
      <c r="E28" s="88">
        <v>1</v>
      </c>
      <c r="F28" s="88" t="s">
        <v>15</v>
      </c>
      <c r="G28" s="88" t="s">
        <v>15</v>
      </c>
      <c r="H28" s="131" t="s">
        <v>15</v>
      </c>
      <c r="I28" s="93">
        <v>0.82236047834166892</v>
      </c>
      <c r="J28" s="130">
        <v>1.3967484538365271E-4</v>
      </c>
      <c r="K28" s="93">
        <v>0.17547868683843676</v>
      </c>
      <c r="L28" s="88">
        <v>1.8827107998909486E-2</v>
      </c>
      <c r="M28" s="88">
        <v>0.15718897239365676</v>
      </c>
      <c r="N28" s="90">
        <v>0.64850523276899696</v>
      </c>
      <c r="O28" s="93" t="s">
        <v>15</v>
      </c>
      <c r="P28" s="88" t="s">
        <v>15</v>
      </c>
      <c r="Q28" s="88" t="s">
        <v>15</v>
      </c>
      <c r="R28" s="88" t="s">
        <v>15</v>
      </c>
      <c r="S28" s="88" t="s">
        <v>15</v>
      </c>
      <c r="T28" s="88" t="s">
        <v>15</v>
      </c>
      <c r="U28" s="89" t="s">
        <v>15</v>
      </c>
      <c r="V28" s="80"/>
    </row>
    <row r="29" spans="1:22">
      <c r="A29" s="84" t="s">
        <v>36</v>
      </c>
      <c r="B29" s="60" t="s">
        <v>37</v>
      </c>
      <c r="C29" s="55">
        <v>42383228.670000002</v>
      </c>
      <c r="D29" s="65">
        <f t="shared" si="1"/>
        <v>4.3593110667264297E-2</v>
      </c>
      <c r="E29" s="88">
        <v>0.81970583094014271</v>
      </c>
      <c r="F29" s="88" t="s">
        <v>15</v>
      </c>
      <c r="G29" s="88">
        <v>0.11175666164809488</v>
      </c>
      <c r="H29" s="131" t="s">
        <v>15</v>
      </c>
      <c r="I29" s="93">
        <v>0.90767409967654022</v>
      </c>
      <c r="J29" s="130">
        <v>0.37827483740837098</v>
      </c>
      <c r="K29" s="93">
        <v>0.12242150911208373</v>
      </c>
      <c r="L29" s="88">
        <v>0.32550698123957006</v>
      </c>
      <c r="M29" s="88">
        <v>0.16799541541475499</v>
      </c>
      <c r="N29" s="90">
        <v>0.38407609423359124</v>
      </c>
      <c r="O29" s="94" t="s">
        <v>15</v>
      </c>
      <c r="P29" s="87">
        <f>55791965.26/369428891.03</f>
        <v>0.15102220377092634</v>
      </c>
      <c r="Q29" s="88" t="s">
        <v>15</v>
      </c>
      <c r="R29" s="88" t="s">
        <v>15</v>
      </c>
      <c r="S29" s="88" t="s">
        <v>15</v>
      </c>
      <c r="T29" s="88" t="s">
        <v>15</v>
      </c>
      <c r="U29" s="89" t="s">
        <v>15</v>
      </c>
      <c r="V29" s="80"/>
    </row>
    <row r="30" spans="1:22">
      <c r="A30" s="83" t="s">
        <v>13</v>
      </c>
      <c r="B30" s="60" t="s">
        <v>40</v>
      </c>
      <c r="C30" s="59">
        <v>63807752.270000003</v>
      </c>
      <c r="D30" s="65">
        <f t="shared" si="1"/>
        <v>6.5629223950660731E-2</v>
      </c>
      <c r="E30" s="88">
        <v>0.32271156763783371</v>
      </c>
      <c r="F30" s="88">
        <v>3.4279416728760143E-2</v>
      </c>
      <c r="G30" s="88">
        <v>0.4876703227448575</v>
      </c>
      <c r="H30" s="131" t="s">
        <v>15</v>
      </c>
      <c r="I30" s="93">
        <v>0.43778167796506345</v>
      </c>
      <c r="J30" s="130">
        <v>0.11328064033838774</v>
      </c>
      <c r="K30" s="93">
        <v>0.11088151682958558</v>
      </c>
      <c r="L30" s="88">
        <v>0.22687040024306496</v>
      </c>
      <c r="M30" s="88">
        <v>0.23775782919798266</v>
      </c>
      <c r="N30" s="90">
        <v>0.42449025372936677</v>
      </c>
      <c r="O30" s="93" t="s">
        <v>15</v>
      </c>
      <c r="P30" s="87">
        <f>280053397.88/369428891.03</f>
        <v>0.75807118685056463</v>
      </c>
      <c r="Q30" s="88" t="s">
        <v>15</v>
      </c>
      <c r="R30" s="103">
        <f>397841.38/224966593.76</f>
        <v>1.7684464762107177E-3</v>
      </c>
      <c r="S30" s="88" t="s">
        <v>15</v>
      </c>
      <c r="T30" s="88" t="s">
        <v>15</v>
      </c>
      <c r="U30" s="89" t="s">
        <v>15</v>
      </c>
      <c r="V30" s="80"/>
    </row>
    <row r="31" spans="1:22">
      <c r="A31" s="83" t="s">
        <v>41</v>
      </c>
      <c r="B31" s="60" t="s">
        <v>42</v>
      </c>
      <c r="C31" s="59">
        <v>33611756.210000001</v>
      </c>
      <c r="D31" s="65">
        <f t="shared" si="1"/>
        <v>3.4571245612082767E-2</v>
      </c>
      <c r="E31" s="88">
        <v>0.66135509790306468</v>
      </c>
      <c r="F31" s="88" t="s">
        <v>15</v>
      </c>
      <c r="G31" s="88">
        <v>0.1200059650306176</v>
      </c>
      <c r="H31" s="131" t="s">
        <v>15</v>
      </c>
      <c r="I31" s="93">
        <v>0.90741121563416127</v>
      </c>
      <c r="J31" s="130">
        <v>9.7270215869544319E-2</v>
      </c>
      <c r="K31" s="93">
        <v>0.11886434520994571</v>
      </c>
      <c r="L31" s="88">
        <v>0.15074418695267963</v>
      </c>
      <c r="M31" s="88">
        <v>0.25958427342545837</v>
      </c>
      <c r="N31" s="90">
        <v>0.47080719441191626</v>
      </c>
      <c r="O31" s="94" t="s">
        <v>15</v>
      </c>
      <c r="P31" s="87">
        <f>7958654.93/369428891.03</f>
        <v>2.1543130825016354E-2</v>
      </c>
      <c r="Q31" s="88" t="s">
        <v>15</v>
      </c>
      <c r="R31" s="88" t="s">
        <v>15</v>
      </c>
      <c r="S31" s="88" t="s">
        <v>15</v>
      </c>
      <c r="T31" s="88" t="s">
        <v>15</v>
      </c>
      <c r="U31" s="89" t="s">
        <v>15</v>
      </c>
      <c r="V31" s="80"/>
    </row>
    <row r="32" spans="1:22">
      <c r="A32" s="83" t="s">
        <v>61</v>
      </c>
      <c r="B32" s="60" t="s">
        <v>62</v>
      </c>
      <c r="C32" s="55">
        <v>31742742.199999999</v>
      </c>
      <c r="D32" s="65">
        <f t="shared" si="1"/>
        <v>3.2648878271666612E-2</v>
      </c>
      <c r="E32" s="88">
        <v>0.94532376193160583</v>
      </c>
      <c r="F32" s="88" t="s">
        <v>15</v>
      </c>
      <c r="G32" s="88">
        <v>1.7486233212668598E-2</v>
      </c>
      <c r="H32" s="131">
        <v>3.7426100900481642E-3</v>
      </c>
      <c r="I32" s="93">
        <v>0.78382737293395088</v>
      </c>
      <c r="J32" s="130">
        <v>0.29133679386193212</v>
      </c>
      <c r="K32" s="93">
        <v>0.26782381102509839</v>
      </c>
      <c r="L32" s="88">
        <v>0.24098336296309572</v>
      </c>
      <c r="M32" s="88">
        <v>0.13832022507854916</v>
      </c>
      <c r="N32" s="90">
        <v>0.35287260093325667</v>
      </c>
      <c r="O32" s="93" t="s">
        <v>15</v>
      </c>
      <c r="P32" s="88" t="s">
        <v>15</v>
      </c>
      <c r="Q32" s="88" t="s">
        <v>15</v>
      </c>
      <c r="R32" s="104">
        <f>644982.13/224966593.76</f>
        <v>2.8670129160958142E-3</v>
      </c>
      <c r="S32" s="88" t="s">
        <v>15</v>
      </c>
      <c r="T32" s="88" t="s">
        <v>15</v>
      </c>
      <c r="U32" s="89" t="s">
        <v>15</v>
      </c>
      <c r="V32" s="80"/>
    </row>
    <row r="33" spans="1:22">
      <c r="A33" s="83" t="s">
        <v>43</v>
      </c>
      <c r="B33" s="60" t="s">
        <v>44</v>
      </c>
      <c r="C33" s="54">
        <v>28910720.510000002</v>
      </c>
      <c r="D33" s="65">
        <f t="shared" si="1"/>
        <v>2.9736012998812855E-2</v>
      </c>
      <c r="E33" s="88">
        <v>0.82294040673233093</v>
      </c>
      <c r="F33" s="88" t="s">
        <v>15</v>
      </c>
      <c r="G33" s="88">
        <v>9.2996316882834135E-2</v>
      </c>
      <c r="H33" s="131" t="s">
        <v>15</v>
      </c>
      <c r="I33" s="93">
        <v>0.81558494574732621</v>
      </c>
      <c r="J33" s="130">
        <v>0.17347217834651987</v>
      </c>
      <c r="K33" s="93">
        <v>7.8520638972549461E-2</v>
      </c>
      <c r="L33" s="88">
        <v>9.8666917454845127E-2</v>
      </c>
      <c r="M33" s="88">
        <v>0.13130414503869839</v>
      </c>
      <c r="N33" s="90">
        <v>0.69150829853390705</v>
      </c>
      <c r="O33" s="93" t="s">
        <v>15</v>
      </c>
      <c r="P33" s="87">
        <f>241447114.2/369428891.03</f>
        <v>0.6535685758816111</v>
      </c>
      <c r="Q33" s="88" t="s">
        <v>15</v>
      </c>
      <c r="R33" s="104">
        <f>2976008.63/224966593.76</f>
        <v>1.3228669111534313E-2</v>
      </c>
      <c r="S33" s="88" t="s">
        <v>15</v>
      </c>
      <c r="T33" s="88" t="s">
        <v>15</v>
      </c>
      <c r="U33" s="89" t="s">
        <v>15</v>
      </c>
      <c r="V33" s="80"/>
    </row>
    <row r="34" spans="1:22">
      <c r="A34" s="83" t="s">
        <v>47</v>
      </c>
      <c r="B34" s="60" t="s">
        <v>48</v>
      </c>
      <c r="C34" s="54">
        <v>27008517.960000001</v>
      </c>
      <c r="D34" s="65">
        <f t="shared" si="1"/>
        <v>2.7779509710227919E-2</v>
      </c>
      <c r="E34" s="88">
        <v>0.57864845659870701</v>
      </c>
      <c r="F34" s="88" t="s">
        <v>15</v>
      </c>
      <c r="G34" s="88">
        <v>0.21658171392216682</v>
      </c>
      <c r="H34" s="131" t="s">
        <v>15</v>
      </c>
      <c r="I34" s="93">
        <v>0.81996515702709694</v>
      </c>
      <c r="J34" s="130">
        <v>0.35351192114968955</v>
      </c>
      <c r="K34" s="93">
        <v>4.214399138434461E-2</v>
      </c>
      <c r="L34" s="88">
        <v>6.3305262125164879E-2</v>
      </c>
      <c r="M34" s="88">
        <v>0.21084872371800387</v>
      </c>
      <c r="N34" s="90">
        <v>0.68370202277248671</v>
      </c>
      <c r="O34" s="93" t="s">
        <v>15</v>
      </c>
      <c r="P34" s="88" t="s">
        <v>15</v>
      </c>
      <c r="Q34" s="88" t="s">
        <v>15</v>
      </c>
      <c r="R34" s="88" t="s">
        <v>15</v>
      </c>
      <c r="S34" s="88" t="s">
        <v>15</v>
      </c>
      <c r="T34" s="88" t="s">
        <v>15</v>
      </c>
      <c r="U34" s="89" t="s">
        <v>15</v>
      </c>
      <c r="V34" s="80"/>
    </row>
    <row r="35" spans="1:22">
      <c r="A35" s="83" t="s">
        <v>63</v>
      </c>
      <c r="B35" s="60" t="s">
        <v>64</v>
      </c>
      <c r="C35" s="59">
        <v>26429377.350000001</v>
      </c>
      <c r="D35" s="65">
        <f t="shared" si="1"/>
        <v>2.7183836810925958E-2</v>
      </c>
      <c r="E35" s="88">
        <v>1.0101059587654104</v>
      </c>
      <c r="F35" s="88" t="s">
        <v>15</v>
      </c>
      <c r="G35" s="88">
        <v>8.4029010185025029E-4</v>
      </c>
      <c r="H35" s="131" t="s">
        <v>15</v>
      </c>
      <c r="I35" s="93">
        <v>0.93383589375677256</v>
      </c>
      <c r="J35" s="130">
        <v>8.4848246809692732E-2</v>
      </c>
      <c r="K35" s="93">
        <v>2.1604400410198118E-2</v>
      </c>
      <c r="L35" s="88">
        <v>0.13153124051124729</v>
      </c>
      <c r="M35" s="88">
        <v>0.28184981212149579</v>
      </c>
      <c r="N35" s="90">
        <v>0.56501454695705877</v>
      </c>
      <c r="O35" s="94" t="s">
        <v>15</v>
      </c>
      <c r="P35" s="88" t="s">
        <v>15</v>
      </c>
      <c r="Q35" s="88" t="s">
        <v>15</v>
      </c>
      <c r="R35" s="88" t="s">
        <v>15</v>
      </c>
      <c r="S35" s="88" t="s">
        <v>15</v>
      </c>
      <c r="T35" s="88" t="s">
        <v>15</v>
      </c>
      <c r="U35" s="89" t="s">
        <v>15</v>
      </c>
      <c r="V35" s="80"/>
    </row>
    <row r="36" spans="1:22">
      <c r="A36" s="83" t="s">
        <v>65</v>
      </c>
      <c r="B36" s="60" t="s">
        <v>66</v>
      </c>
      <c r="C36" s="56">
        <v>23543464.27</v>
      </c>
      <c r="D36" s="65">
        <f t="shared" si="1"/>
        <v>2.421554175129086E-2</v>
      </c>
      <c r="E36" s="88">
        <v>0.95411052763921134</v>
      </c>
      <c r="F36" s="88" t="s">
        <v>15</v>
      </c>
      <c r="G36" s="88">
        <v>1.2927571675897363E-2</v>
      </c>
      <c r="H36" s="131" t="s">
        <v>15</v>
      </c>
      <c r="I36" s="93">
        <v>0.94172644407083794</v>
      </c>
      <c r="J36" s="130">
        <v>0.27808327391836435</v>
      </c>
      <c r="K36" s="93">
        <v>0.14101237067914274</v>
      </c>
      <c r="L36" s="88">
        <v>0.44398272035971609</v>
      </c>
      <c r="M36" s="88">
        <v>0.23810278505353097</v>
      </c>
      <c r="N36" s="90">
        <v>0.17690212390761029</v>
      </c>
      <c r="O36" s="94" t="s">
        <v>15</v>
      </c>
      <c r="P36" s="88" t="s">
        <v>15</v>
      </c>
      <c r="Q36" s="88" t="s">
        <v>15</v>
      </c>
      <c r="R36" s="105">
        <f>25278/224966593.76</f>
        <v>1.1236334949786902E-4</v>
      </c>
      <c r="S36" s="88" t="s">
        <v>15</v>
      </c>
      <c r="T36" s="88" t="s">
        <v>15</v>
      </c>
      <c r="U36" s="89" t="s">
        <v>15</v>
      </c>
      <c r="V36" s="80"/>
    </row>
    <row r="37" spans="1:22">
      <c r="A37" s="83" t="s">
        <v>68</v>
      </c>
      <c r="B37" s="102" t="s">
        <v>69</v>
      </c>
      <c r="C37" s="101">
        <v>20140000</v>
      </c>
      <c r="D37" s="65">
        <f t="shared" si="1"/>
        <v>2.071492135897968E-2</v>
      </c>
      <c r="E37" s="88">
        <v>1.0129696701468682</v>
      </c>
      <c r="F37" s="88" t="s">
        <v>15</v>
      </c>
      <c r="G37" s="88">
        <v>2.4003616066962568E-3</v>
      </c>
      <c r="H37" s="131" t="s">
        <v>15</v>
      </c>
      <c r="I37" s="93">
        <v>0.8651977585796784</v>
      </c>
      <c r="J37" s="130">
        <v>7.0857505065151016E-3</v>
      </c>
      <c r="K37" s="93">
        <v>0.29889629256242745</v>
      </c>
      <c r="L37" s="88">
        <v>0.46789375286539159</v>
      </c>
      <c r="M37" s="88">
        <v>0.10898909380543348</v>
      </c>
      <c r="N37" s="90">
        <v>0.1242208607667475</v>
      </c>
      <c r="O37" s="94" t="s">
        <v>15</v>
      </c>
      <c r="P37" s="87">
        <f>1666778066.34/369428891.03</f>
        <v>4.5117696715405158</v>
      </c>
      <c r="Q37" s="88" t="s">
        <v>15</v>
      </c>
      <c r="R37" s="88" t="s">
        <v>15</v>
      </c>
      <c r="S37" s="88" t="s">
        <v>15</v>
      </c>
      <c r="T37" s="88" t="s">
        <v>15</v>
      </c>
      <c r="U37" s="89" t="s">
        <v>15</v>
      </c>
    </row>
    <row r="38" spans="1:22">
      <c r="A38" s="86"/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3"/>
    </row>
    <row r="40" spans="1:22">
      <c r="B40" s="57"/>
    </row>
    <row r="47" spans="1:22" ht="16.5" customHeight="1"/>
    <row r="59" ht="16.5" customHeight="1"/>
    <row r="61" ht="31.5" customHeight="1"/>
  </sheetData>
  <mergeCells count="15">
    <mergeCell ref="O3:U3"/>
    <mergeCell ref="A4:B4"/>
    <mergeCell ref="C38:U38"/>
    <mergeCell ref="A27:N27"/>
    <mergeCell ref="O1:Y1"/>
    <mergeCell ref="A1:N1"/>
    <mergeCell ref="A2:B2"/>
    <mergeCell ref="C2:D3"/>
    <mergeCell ref="E2:H2"/>
    <mergeCell ref="I2:J2"/>
    <mergeCell ref="K2:N2"/>
    <mergeCell ref="E3:H3"/>
    <mergeCell ref="I3:J3"/>
    <mergeCell ref="K3:N3"/>
    <mergeCell ref="O2:U2"/>
  </mergeCells>
  <pageMargins left="0.25" right="0.25" top="0.75" bottom="1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standard summary</vt:lpstr>
      <vt:lpstr>'standard summary'!Print_Area</vt:lpstr>
      <vt:lpstr>'standard summary'!Print_Titles</vt:lpstr>
    </vt:vector>
  </TitlesOfParts>
  <Company>OMB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swartz_j</dc:creator>
  <cp:lastModifiedBy>USDA</cp:lastModifiedBy>
  <cp:lastPrinted>2013-12-27T14:47:55Z</cp:lastPrinted>
  <dcterms:created xsi:type="dcterms:W3CDTF">2010-07-26T17:11:06Z</dcterms:created>
  <dcterms:modified xsi:type="dcterms:W3CDTF">2014-01-30T19:21:39Z</dcterms:modified>
</cp:coreProperties>
</file>